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dedek1223\Downloads\"/>
    </mc:Choice>
  </mc:AlternateContent>
  <xr:revisionPtr revIDLastSave="0" documentId="13_ncr:1_{A387E824-6CDD-47B4-A7AD-CF4D9A5DD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2" l="1"/>
  <c r="C70" i="2"/>
  <c r="B70" i="2"/>
  <c r="B72" i="2" s="1"/>
  <c r="C22" i="2" s="1"/>
  <c r="B67" i="2"/>
  <c r="C20" i="2" s="1"/>
  <c r="D60" i="2"/>
  <c r="D59" i="2"/>
  <c r="D58" i="2"/>
  <c r="D57" i="2"/>
  <c r="D56" i="2"/>
  <c r="D55" i="2"/>
  <c r="D54" i="2"/>
  <c r="D53" i="2"/>
  <c r="D61" i="2" s="1"/>
  <c r="C19" i="2" s="1"/>
  <c r="C37" i="2" s="1"/>
  <c r="B49" i="2"/>
  <c r="C18" i="2" s="1"/>
  <c r="B44" i="2"/>
  <c r="B43" i="2"/>
  <c r="B42" i="2"/>
  <c r="C32" i="2"/>
  <c r="C31" i="2"/>
  <c r="C30" i="2"/>
  <c r="L29" i="2"/>
  <c r="K29" i="2"/>
  <c r="J29" i="2"/>
  <c r="H29" i="2"/>
  <c r="E29" i="2"/>
  <c r="C29" i="2" s="1"/>
  <c r="L28" i="2"/>
  <c r="K28" i="2"/>
  <c r="J28" i="2"/>
  <c r="E28" i="2"/>
  <c r="C28" i="2" s="1"/>
  <c r="K27" i="2"/>
  <c r="J27" i="2"/>
  <c r="H27" i="2"/>
  <c r="L27" i="2" s="1"/>
  <c r="C27" i="2"/>
  <c r="L26" i="2"/>
  <c r="K26" i="2"/>
  <c r="J26" i="2"/>
  <c r="C26" i="2"/>
  <c r="L25" i="2"/>
  <c r="K25" i="2"/>
  <c r="J25" i="2"/>
  <c r="E25" i="2"/>
  <c r="C25" i="2"/>
  <c r="F21" i="2"/>
  <c r="C14" i="2" s="1"/>
  <c r="C6" i="2"/>
  <c r="C5" i="2"/>
  <c r="C15" i="2" s="1"/>
  <c r="C33" i="2" l="1"/>
  <c r="C34" i="2" s="1"/>
  <c r="C36" i="2"/>
  <c r="E1" i="2"/>
  <c r="C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100-000001000000}">
      <text>
        <r>
          <rPr>
            <sz val="10"/>
            <color rgb="FF000000"/>
            <rFont val="Arial"/>
          </rPr>
          <t>při 0 získaných mandátech</t>
        </r>
      </text>
    </comment>
    <comment ref="C6" authorId="0" shapeId="0" xr:uid="{00000000-0006-0000-0100-000002000000}">
      <text>
        <r>
          <rPr>
            <sz val="10"/>
            <color rgb="FF000000"/>
            <rFont val="Arial"/>
          </rPr>
          <t>20 tisíc hlasů v MSK. 2019 bylo 24800 hlasů</t>
        </r>
      </text>
    </comment>
  </commentList>
</comments>
</file>

<file path=xl/sharedStrings.xml><?xml version="1.0" encoding="utf-8"?>
<sst xmlns="http://schemas.openxmlformats.org/spreadsheetml/2006/main" count="107" uniqueCount="88">
  <si>
    <t>Příjmy</t>
  </si>
  <si>
    <t>Členské příspěvky</t>
  </si>
  <si>
    <t>Stálý příspěvek</t>
  </si>
  <si>
    <t>Příspěvek na mandát poslance</t>
  </si>
  <si>
    <t>Příspěvek na mandát krajského zastupitele</t>
  </si>
  <si>
    <t>Příspěvek na mandáty v kraji</t>
  </si>
  <si>
    <t>Příjem za eurovolby</t>
  </si>
  <si>
    <t>příspěvek za eurovolby</t>
  </si>
  <si>
    <t>Dary</t>
  </si>
  <si>
    <t>Dary MS Ostravsko</t>
  </si>
  <si>
    <t>Dary pro MS Opavské Slezsko</t>
  </si>
  <si>
    <t>Dary pro ZK MSK</t>
  </si>
  <si>
    <t>Dary pro MS Frýdecko-Místecko</t>
  </si>
  <si>
    <t>;</t>
  </si>
  <si>
    <t>Dary pro MS Karvinsko</t>
  </si>
  <si>
    <t>Dary na zastupitelský klub Ostrava</t>
  </si>
  <si>
    <t>Proplaceno</t>
  </si>
  <si>
    <t>Odhad převod výsledků hospodaření</t>
  </si>
  <si>
    <t>K proplacení</t>
  </si>
  <si>
    <t>Celkem</t>
  </si>
  <si>
    <t>Podáno</t>
  </si>
  <si>
    <t>Zbývá náklady</t>
  </si>
  <si>
    <t>MO náklady</t>
  </si>
  <si>
    <t>Nájem a služby krajských center</t>
  </si>
  <si>
    <t>Krajská centra - Opice</t>
  </si>
  <si>
    <t>Nad hladinou</t>
  </si>
  <si>
    <t>Mediální tým (krajské a evropské volby)</t>
  </si>
  <si>
    <t>KMT</t>
  </si>
  <si>
    <t>Další dodavatelé</t>
  </si>
  <si>
    <t>Technický odbor MSK</t>
  </si>
  <si>
    <t>technický odbor</t>
  </si>
  <si>
    <t>Rezerva výdajů</t>
  </si>
  <si>
    <t>Provozní výdaje</t>
  </si>
  <si>
    <t>Kancelář</t>
  </si>
  <si>
    <t>Koordinátoři</t>
  </si>
  <si>
    <t>personální náklady</t>
  </si>
  <si>
    <t>Krajské projekty</t>
  </si>
  <si>
    <t>Podpora projektů v kraji</t>
  </si>
  <si>
    <t>Rezerva předsednictva</t>
  </si>
  <si>
    <t>PKS</t>
  </si>
  <si>
    <t>členů</t>
  </si>
  <si>
    <t>regP</t>
  </si>
  <si>
    <t>obyvatel</t>
  </si>
  <si>
    <t>MS Ostravsko</t>
  </si>
  <si>
    <t>MS</t>
  </si>
  <si>
    <t>MS Karvinsko</t>
  </si>
  <si>
    <t>MS Opavské Slezsko</t>
  </si>
  <si>
    <t>MS Novojičínsko</t>
  </si>
  <si>
    <t>MS Frýdek - Místek</t>
  </si>
  <si>
    <t>Kluby zastupitelů - Ostrava</t>
  </si>
  <si>
    <t>Ostrava</t>
  </si>
  <si>
    <t>Kluby zastupitelů - MSK</t>
  </si>
  <si>
    <t>tým Havířov</t>
  </si>
  <si>
    <t>Karvinsko</t>
  </si>
  <si>
    <t>Rezerva</t>
  </si>
  <si>
    <t>Provoz roční 2023</t>
  </si>
  <si>
    <t>Volby</t>
  </si>
  <si>
    <t>Zůstatek z příjmů ročně</t>
  </si>
  <si>
    <t>Centra</t>
  </si>
  <si>
    <t>OPICE (OStrava)</t>
  </si>
  <si>
    <t>nájem</t>
  </si>
  <si>
    <t>služby</t>
  </si>
  <si>
    <t>internet</t>
  </si>
  <si>
    <t>režie</t>
  </si>
  <si>
    <t>Elektřina</t>
  </si>
  <si>
    <t>Renovace</t>
  </si>
  <si>
    <t>úklid</t>
  </si>
  <si>
    <t>celkem</t>
  </si>
  <si>
    <t>Mediální tým + krajské volby + Eurovolby</t>
  </si>
  <si>
    <t>Náklady na měsíc</t>
  </si>
  <si>
    <t>Počet měsíců</t>
  </si>
  <si>
    <t>Konzultace a školení</t>
  </si>
  <si>
    <t>Externista</t>
  </si>
  <si>
    <t>agentura fee</t>
  </si>
  <si>
    <t>Běžná reklama</t>
  </si>
  <si>
    <t>Krajské volby</t>
  </si>
  <si>
    <t>Eurovolby</t>
  </si>
  <si>
    <t>Technický tým</t>
  </si>
  <si>
    <t>režie (weby, domény)</t>
  </si>
  <si>
    <t>Weby</t>
  </si>
  <si>
    <t>MSK</t>
  </si>
  <si>
    <t>Cetrála</t>
  </si>
  <si>
    <t>Personální koordinace</t>
  </si>
  <si>
    <t>Koordinace krajského sdružení</t>
  </si>
  <si>
    <t>podle členů</t>
  </si>
  <si>
    <t>podle regP a členů</t>
  </si>
  <si>
    <t>Podle obyvatel</t>
  </si>
  <si>
    <t>Hybridní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</si>
</sst>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"/>
    <numFmt numFmtId="165" formatCode="#,##0\ [$Kč-405]"/>
  </numFmts>
  <fonts count="7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/>
    <xf numFmtId="0" fontId="2" fillId="3" borderId="0" xfId="0" applyFont="1" applyFill="1"/>
    <xf numFmtId="165" fontId="2" fillId="0" borderId="0" xfId="0" applyNumberFormat="1" applyFont="1"/>
    <xf numFmtId="164" fontId="2" fillId="3" borderId="0" xfId="0" applyNumberFormat="1" applyFont="1" applyFill="1"/>
    <xf numFmtId="0" fontId="3" fillId="0" borderId="0" xfId="0" applyFont="1"/>
    <xf numFmtId="0" fontId="1" fillId="2" borderId="2" xfId="0" applyFont="1" applyFill="1" applyBorder="1"/>
    <xf numFmtId="165" fontId="1" fillId="2" borderId="2" xfId="0" applyNumberFormat="1" applyFont="1" applyFill="1" applyBorder="1"/>
    <xf numFmtId="164" fontId="1" fillId="2" borderId="2" xfId="0" applyNumberFormat="1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4" fillId="0" borderId="0" xfId="0" applyFont="1"/>
    <xf numFmtId="0" fontId="2" fillId="4" borderId="0" xfId="0" applyFont="1" applyFill="1"/>
    <xf numFmtId="164" fontId="2" fillId="4" borderId="0" xfId="0" applyNumberFormat="1" applyFont="1" applyFill="1"/>
    <xf numFmtId="165" fontId="2" fillId="3" borderId="0" xfId="0" applyNumberFormat="1" applyFont="1" applyFill="1"/>
    <xf numFmtId="0" fontId="4" fillId="0" borderId="3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6" fillId="5" borderId="3" xfId="0" applyFont="1" applyFill="1" applyBorder="1"/>
    <xf numFmtId="164" fontId="6" fillId="5" borderId="3" xfId="0" applyNumberFormat="1" applyFont="1" applyFill="1" applyBorder="1"/>
    <xf numFmtId="0" fontId="6" fillId="5" borderId="0" xfId="0" applyFont="1" applyFill="1"/>
    <xf numFmtId="164" fontId="6" fillId="5" borderId="0" xfId="0" applyNumberFormat="1" applyFont="1" applyFill="1"/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0" xfId="0" applyFont="1" applyFill="1"/>
    <xf numFmtId="0" fontId="0" fillId="0" borderId="0" xfId="0"/>
    <xf numFmtId="0" fontId="5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M72"/>
  <sheetViews>
    <sheetView tabSelected="1" workbookViewId="0">
      <selection sqref="A1:C1"/>
    </sheetView>
  </sheetViews>
  <sheetFormatPr defaultColWidth="12.5703125" defaultRowHeight="15.75" customHeight="1" x14ac:dyDescent="0.2"/>
  <cols>
    <col min="1" max="1" width="37.42578125" customWidth="1"/>
    <col min="2" max="2" width="34.28515625" customWidth="1"/>
    <col min="3" max="3" width="25.42578125" customWidth="1"/>
    <col min="4" max="4" width="27.42578125" customWidth="1"/>
    <col min="5" max="5" width="22.42578125" customWidth="1"/>
    <col min="6" max="6" width="18" customWidth="1"/>
    <col min="7" max="7" width="4.42578125" customWidth="1"/>
    <col min="8" max="8" width="8" customWidth="1"/>
    <col min="9" max="9" width="8.5703125" customWidth="1"/>
    <col min="10" max="10" width="10.42578125" customWidth="1"/>
    <col min="11" max="11" width="10" customWidth="1"/>
    <col min="12" max="12" width="9.5703125" customWidth="1"/>
    <col min="13" max="13" width="10.140625" customWidth="1"/>
  </cols>
  <sheetData>
    <row r="1" spans="1:6" x14ac:dyDescent="0.25">
      <c r="A1" s="29" t="s">
        <v>0</v>
      </c>
      <c r="B1" s="30"/>
      <c r="C1" s="30"/>
      <c r="E1" s="2">
        <f>SUM(C2:C5)</f>
        <v>2384000</v>
      </c>
    </row>
    <row r="2" spans="1:6" ht="15.75" customHeight="1" x14ac:dyDescent="0.2">
      <c r="A2" s="3" t="s">
        <v>1</v>
      </c>
      <c r="C2" s="2">
        <v>18000</v>
      </c>
    </row>
    <row r="3" spans="1:6" ht="15.75" customHeight="1" x14ac:dyDescent="0.2">
      <c r="A3" s="4" t="s">
        <v>2</v>
      </c>
      <c r="B3" s="4" t="s">
        <v>2</v>
      </c>
      <c r="C3" s="2">
        <v>123000</v>
      </c>
      <c r="E3" s="5"/>
    </row>
    <row r="4" spans="1:6" ht="15.75" customHeight="1" x14ac:dyDescent="0.2">
      <c r="A4" s="4" t="s">
        <v>3</v>
      </c>
      <c r="B4" s="4" t="s">
        <v>3</v>
      </c>
      <c r="C4" s="6">
        <v>893000</v>
      </c>
      <c r="E4" s="5"/>
    </row>
    <row r="5" spans="1:6" ht="15.75" customHeight="1" x14ac:dyDescent="0.2">
      <c r="A5" s="4" t="s">
        <v>4</v>
      </c>
      <c r="B5" s="4" t="s">
        <v>5</v>
      </c>
      <c r="C5" s="6">
        <f>1800000*3/4</f>
        <v>1350000</v>
      </c>
    </row>
    <row r="6" spans="1:6" ht="15.75" customHeight="1" x14ac:dyDescent="0.2">
      <c r="A6" s="4" t="s">
        <v>6</v>
      </c>
      <c r="B6" s="4" t="s">
        <v>7</v>
      </c>
      <c r="C6" s="6">
        <f>20000*9</f>
        <v>180000</v>
      </c>
    </row>
    <row r="7" spans="1:6" ht="15.75" customHeight="1" x14ac:dyDescent="0.2">
      <c r="A7" s="4" t="s">
        <v>8</v>
      </c>
      <c r="B7" s="4"/>
      <c r="C7" s="6">
        <v>0</v>
      </c>
    </row>
    <row r="8" spans="1:6" ht="15.75" customHeight="1" x14ac:dyDescent="0.2">
      <c r="A8" s="4" t="s">
        <v>9</v>
      </c>
      <c r="B8" s="4"/>
      <c r="C8" s="6">
        <v>0</v>
      </c>
    </row>
    <row r="9" spans="1:6" ht="15.75" customHeight="1" x14ac:dyDescent="0.2">
      <c r="A9" s="4" t="s">
        <v>10</v>
      </c>
      <c r="B9" s="4"/>
      <c r="C9" s="6">
        <v>0</v>
      </c>
    </row>
    <row r="10" spans="1:6" ht="15.75" customHeight="1" x14ac:dyDescent="0.2">
      <c r="A10" s="4" t="s">
        <v>11</v>
      </c>
      <c r="B10" s="4"/>
      <c r="C10" s="6">
        <v>0</v>
      </c>
    </row>
    <row r="11" spans="1:6" ht="15.75" customHeight="1" x14ac:dyDescent="0.2">
      <c r="A11" s="3" t="s">
        <v>12</v>
      </c>
      <c r="C11" s="6">
        <v>0</v>
      </c>
      <c r="F11" s="3" t="s">
        <v>13</v>
      </c>
    </row>
    <row r="12" spans="1:6" ht="15.75" customHeight="1" x14ac:dyDescent="0.2">
      <c r="A12" s="3" t="s">
        <v>14</v>
      </c>
      <c r="C12" s="6">
        <v>0</v>
      </c>
      <c r="E12" s="1" t="s">
        <v>0</v>
      </c>
      <c r="F12" s="24">
        <v>4500300.38</v>
      </c>
    </row>
    <row r="13" spans="1:6" ht="15.75" customHeight="1" x14ac:dyDescent="0.2">
      <c r="A13" s="4" t="s">
        <v>15</v>
      </c>
      <c r="B13" s="4"/>
      <c r="C13" s="6">
        <v>0</v>
      </c>
      <c r="E13" s="3" t="s">
        <v>16</v>
      </c>
      <c r="F13" s="2">
        <v>1627838.04</v>
      </c>
    </row>
    <row r="14" spans="1:6" ht="15.75" customHeight="1" x14ac:dyDescent="0.2">
      <c r="A14" s="7" t="s">
        <v>17</v>
      </c>
      <c r="B14" s="7"/>
      <c r="C14" s="2">
        <f>F12-F21</f>
        <v>2815720.0599999996</v>
      </c>
      <c r="E14" s="3" t="s">
        <v>18</v>
      </c>
      <c r="F14" s="2">
        <v>54367.26</v>
      </c>
    </row>
    <row r="15" spans="1:6" x14ac:dyDescent="0.25">
      <c r="A15" s="8" t="s">
        <v>19</v>
      </c>
      <c r="B15" s="9"/>
      <c r="C15" s="10">
        <f>SUM(C2:C14)</f>
        <v>5379720.0599999996</v>
      </c>
      <c r="E15" s="3" t="s">
        <v>20</v>
      </c>
      <c r="F15" s="2">
        <v>2375.02</v>
      </c>
    </row>
    <row r="16" spans="1:6" ht="15.75" customHeight="1" x14ac:dyDescent="0.2">
      <c r="E16" s="3" t="s">
        <v>21</v>
      </c>
      <c r="F16" s="2"/>
    </row>
    <row r="17" spans="1:13" ht="15.75" customHeight="1" x14ac:dyDescent="0.2">
      <c r="E17" s="3" t="s">
        <v>22</v>
      </c>
      <c r="F17" s="2"/>
    </row>
    <row r="18" spans="1:13" ht="15.75" customHeight="1" x14ac:dyDescent="0.2">
      <c r="A18" s="3" t="s">
        <v>23</v>
      </c>
      <c r="B18" s="3" t="s">
        <v>24</v>
      </c>
      <c r="C18" s="6">
        <f>B49</f>
        <v>271200</v>
      </c>
      <c r="E18" s="3" t="s">
        <v>25</v>
      </c>
      <c r="F18" s="2"/>
    </row>
    <row r="19" spans="1:13" ht="15.75" customHeight="1" x14ac:dyDescent="0.2">
      <c r="A19" s="3" t="s">
        <v>26</v>
      </c>
      <c r="B19" s="3" t="s">
        <v>27</v>
      </c>
      <c r="C19" s="6">
        <f>D61</f>
        <v>2870000</v>
      </c>
      <c r="E19" s="3" t="s">
        <v>28</v>
      </c>
      <c r="F19" s="2"/>
    </row>
    <row r="20" spans="1:13" ht="15.75" customHeight="1" x14ac:dyDescent="0.2">
      <c r="A20" s="3" t="s">
        <v>29</v>
      </c>
      <c r="B20" s="3" t="s">
        <v>30</v>
      </c>
      <c r="C20" s="6">
        <f>B67</f>
        <v>5000</v>
      </c>
      <c r="E20" s="3" t="s">
        <v>31</v>
      </c>
      <c r="F20" s="2"/>
    </row>
    <row r="21" spans="1:13" ht="15.75" customHeight="1" x14ac:dyDescent="0.2">
      <c r="A21" s="3" t="s">
        <v>32</v>
      </c>
      <c r="B21" s="3" t="s">
        <v>33</v>
      </c>
      <c r="C21" s="6">
        <v>10000</v>
      </c>
      <c r="F21" s="2">
        <f>SUM(F13:F20)</f>
        <v>1684580.32</v>
      </c>
    </row>
    <row r="22" spans="1:13" ht="15.75" customHeight="1" x14ac:dyDescent="0.2">
      <c r="A22" s="3" t="s">
        <v>34</v>
      </c>
      <c r="B22" s="3" t="s">
        <v>35</v>
      </c>
      <c r="C22" s="6">
        <f>B72</f>
        <v>621000</v>
      </c>
    </row>
    <row r="23" spans="1:13" ht="15.75" customHeight="1" x14ac:dyDescent="0.2">
      <c r="A23" s="3" t="s">
        <v>36</v>
      </c>
      <c r="B23" s="3" t="s">
        <v>37</v>
      </c>
      <c r="C23" s="6">
        <v>150000</v>
      </c>
    </row>
    <row r="24" spans="1:13" ht="15.75" customHeight="1" x14ac:dyDescent="0.2">
      <c r="A24" s="3" t="s">
        <v>38</v>
      </c>
      <c r="B24" s="3" t="s">
        <v>39</v>
      </c>
      <c r="C24" s="6">
        <v>300000</v>
      </c>
      <c r="F24" s="3" t="s">
        <v>40</v>
      </c>
      <c r="G24" s="25" t="s">
        <v>41</v>
      </c>
      <c r="H24" s="25" t="s">
        <v>42</v>
      </c>
      <c r="I24" s="25"/>
      <c r="J24" s="26" t="s">
        <v>84</v>
      </c>
      <c r="K24" s="26" t="s">
        <v>85</v>
      </c>
      <c r="L24" s="26" t="s">
        <v>86</v>
      </c>
      <c r="M24" s="25"/>
    </row>
    <row r="25" spans="1:13" ht="15.75" customHeight="1" x14ac:dyDescent="0.2">
      <c r="A25" s="3" t="s">
        <v>43</v>
      </c>
      <c r="B25" s="3" t="s">
        <v>44</v>
      </c>
      <c r="C25" s="2">
        <f t="shared" ref="C25:C26" si="0">E25+50000</f>
        <v>197939.93</v>
      </c>
      <c r="E25" s="2">
        <f>196539.93-(75000*0.6)-(6000*0.6)</f>
        <v>147939.93</v>
      </c>
      <c r="F25" s="27">
        <v>39</v>
      </c>
      <c r="G25" s="28">
        <v>70</v>
      </c>
      <c r="H25" s="28">
        <v>323900</v>
      </c>
      <c r="I25" s="28">
        <v>50000</v>
      </c>
      <c r="J25" s="28">
        <f t="shared" ref="J25:J29" si="1">$I25/F25</f>
        <v>1282.051282051282</v>
      </c>
      <c r="K25" s="28">
        <f t="shared" ref="K25:K29" si="2">$I25/(G25+F25)</f>
        <v>458.71559633027522</v>
      </c>
      <c r="L25" s="28">
        <f t="shared" ref="L25:L29" si="3">100*I25/H25</f>
        <v>15.436863229391788</v>
      </c>
      <c r="M25" s="25" t="s">
        <v>43</v>
      </c>
    </row>
    <row r="26" spans="1:13" ht="15.75" customHeight="1" x14ac:dyDescent="0.2">
      <c r="A26" s="3" t="s">
        <v>45</v>
      </c>
      <c r="B26" s="3" t="s">
        <v>44</v>
      </c>
      <c r="C26" s="2">
        <f t="shared" si="0"/>
        <v>167242</v>
      </c>
      <c r="D26" s="6"/>
      <c r="E26" s="6">
        <v>117242</v>
      </c>
      <c r="F26" s="27">
        <v>24</v>
      </c>
      <c r="G26" s="28">
        <v>32</v>
      </c>
      <c r="H26" s="28">
        <v>252300</v>
      </c>
      <c r="I26" s="28">
        <v>50000</v>
      </c>
      <c r="J26" s="28">
        <f t="shared" si="1"/>
        <v>2083.3333333333335</v>
      </c>
      <c r="K26" s="28">
        <f t="shared" si="2"/>
        <v>892.85714285714289</v>
      </c>
      <c r="L26" s="28">
        <f t="shared" si="3"/>
        <v>19.817677368212447</v>
      </c>
      <c r="M26" s="25" t="s">
        <v>45</v>
      </c>
    </row>
    <row r="27" spans="1:13" ht="15.75" customHeight="1" x14ac:dyDescent="0.2">
      <c r="A27" s="3" t="s">
        <v>46</v>
      </c>
      <c r="B27" s="3" t="s">
        <v>44</v>
      </c>
      <c r="C27" s="2">
        <f>E27+30000+2000</f>
        <v>144299.33000000002</v>
      </c>
      <c r="D27" s="6"/>
      <c r="E27" s="6">
        <v>112299.33</v>
      </c>
      <c r="F27" s="27">
        <v>9</v>
      </c>
      <c r="G27" s="28">
        <v>20</v>
      </c>
      <c r="H27" s="28">
        <f>176700+93300</f>
        <v>270000</v>
      </c>
      <c r="I27" s="28">
        <v>30000</v>
      </c>
      <c r="J27" s="28">
        <f t="shared" si="1"/>
        <v>3333.3333333333335</v>
      </c>
      <c r="K27" s="28">
        <f t="shared" si="2"/>
        <v>1034.4827586206898</v>
      </c>
      <c r="L27" s="28">
        <f t="shared" si="3"/>
        <v>11.111111111111111</v>
      </c>
      <c r="M27" s="25" t="s">
        <v>46</v>
      </c>
    </row>
    <row r="28" spans="1:13" ht="15.75" customHeight="1" x14ac:dyDescent="0.2">
      <c r="A28" s="3" t="s">
        <v>47</v>
      </c>
      <c r="B28" s="3" t="s">
        <v>44</v>
      </c>
      <c r="C28" s="2">
        <f t="shared" ref="C28:C29" si="4">E28+30000</f>
        <v>85080</v>
      </c>
      <c r="D28" s="6"/>
      <c r="E28" s="6">
        <f>60000-8200*0.6</f>
        <v>55080</v>
      </c>
      <c r="F28" s="27">
        <v>8</v>
      </c>
      <c r="G28" s="28">
        <v>12</v>
      </c>
      <c r="H28" s="28">
        <v>151800</v>
      </c>
      <c r="I28" s="28">
        <v>30000</v>
      </c>
      <c r="J28" s="28">
        <f t="shared" si="1"/>
        <v>3750</v>
      </c>
      <c r="K28" s="28">
        <f t="shared" si="2"/>
        <v>1500</v>
      </c>
      <c r="L28" s="28">
        <f t="shared" si="3"/>
        <v>19.762845849802371</v>
      </c>
      <c r="M28" s="25" t="s">
        <v>47</v>
      </c>
    </row>
    <row r="29" spans="1:13" ht="15.75" customHeight="1" x14ac:dyDescent="0.2">
      <c r="A29" s="3" t="s">
        <v>48</v>
      </c>
      <c r="B29" s="3" t="s">
        <v>44</v>
      </c>
      <c r="C29" s="2">
        <f t="shared" si="4"/>
        <v>89114</v>
      </c>
      <c r="D29" s="2"/>
      <c r="E29" s="2">
        <f>59114</f>
        <v>59114</v>
      </c>
      <c r="F29" s="27">
        <v>12</v>
      </c>
      <c r="G29" s="28">
        <v>15</v>
      </c>
      <c r="H29" s="28">
        <f>112300+24500</f>
        <v>136800</v>
      </c>
      <c r="I29" s="28">
        <v>30000</v>
      </c>
      <c r="J29" s="28">
        <f t="shared" si="1"/>
        <v>2500</v>
      </c>
      <c r="K29" s="28">
        <f t="shared" si="2"/>
        <v>1111.1111111111111</v>
      </c>
      <c r="L29" s="28">
        <f t="shared" si="3"/>
        <v>21.92982456140351</v>
      </c>
      <c r="M29" s="25" t="s">
        <v>48</v>
      </c>
    </row>
    <row r="30" spans="1:13" ht="15.75" customHeight="1" x14ac:dyDescent="0.2">
      <c r="A30" s="3" t="s">
        <v>49</v>
      </c>
      <c r="B30" s="3" t="s">
        <v>50</v>
      </c>
      <c r="C30" s="2">
        <f t="shared" ref="C30:C32" si="5">E30</f>
        <v>38200</v>
      </c>
      <c r="E30" s="6">
        <v>38200</v>
      </c>
    </row>
    <row r="31" spans="1:13" ht="15.75" customHeight="1" x14ac:dyDescent="0.2">
      <c r="A31" s="3" t="s">
        <v>51</v>
      </c>
      <c r="B31" s="3" t="s">
        <v>39</v>
      </c>
      <c r="C31" s="2">
        <f t="shared" si="5"/>
        <v>143000</v>
      </c>
      <c r="E31" s="2">
        <v>143000</v>
      </c>
    </row>
    <row r="32" spans="1:13" ht="15.75" customHeight="1" x14ac:dyDescent="0.2">
      <c r="A32" s="3" t="s">
        <v>52</v>
      </c>
      <c r="B32" s="3" t="s">
        <v>53</v>
      </c>
      <c r="C32" s="2">
        <f t="shared" si="5"/>
        <v>7600</v>
      </c>
      <c r="E32" s="2">
        <v>7600</v>
      </c>
    </row>
    <row r="33" spans="1:8" x14ac:dyDescent="0.25">
      <c r="B33" s="3" t="s">
        <v>19</v>
      </c>
      <c r="C33" s="2">
        <f>SUM(C18:C32)</f>
        <v>5099675.26</v>
      </c>
      <c r="D33" s="11"/>
      <c r="E33" s="31"/>
      <c r="F33" s="32"/>
      <c r="G33" s="12"/>
    </row>
    <row r="34" spans="1:8" x14ac:dyDescent="0.25">
      <c r="B34" s="3" t="s">
        <v>54</v>
      </c>
      <c r="C34" s="2">
        <f>C15-C33</f>
        <v>280044.79999999981</v>
      </c>
      <c r="D34" s="4"/>
      <c r="E34" s="4"/>
      <c r="F34" s="4"/>
      <c r="G34" s="12"/>
    </row>
    <row r="35" spans="1:8" ht="15.75" customHeight="1" x14ac:dyDescent="0.2">
      <c r="C35" s="2"/>
    </row>
    <row r="36" spans="1:8" ht="15.75" customHeight="1" x14ac:dyDescent="0.2">
      <c r="A36" s="13"/>
      <c r="B36" s="14" t="s">
        <v>55</v>
      </c>
      <c r="C36" s="15">
        <f>SUM(C18:C23)</f>
        <v>3927200</v>
      </c>
    </row>
    <row r="37" spans="1:8" ht="15.75" customHeight="1" x14ac:dyDescent="0.2">
      <c r="B37" s="14" t="s">
        <v>56</v>
      </c>
      <c r="C37" s="15">
        <f>SUM(C19)</f>
        <v>2870000</v>
      </c>
    </row>
    <row r="38" spans="1:8" ht="12.75" x14ac:dyDescent="0.2">
      <c r="B38" s="14" t="s">
        <v>57</v>
      </c>
      <c r="C38" s="15">
        <f>E1-C36</f>
        <v>-1543200</v>
      </c>
    </row>
    <row r="39" spans="1:8" ht="12.75" x14ac:dyDescent="0.2">
      <c r="C39" s="16"/>
    </row>
    <row r="41" spans="1:8" ht="12.75" x14ac:dyDescent="0.2">
      <c r="A41" s="17" t="s">
        <v>58</v>
      </c>
      <c r="B41" s="18" t="s">
        <v>59</v>
      </c>
    </row>
    <row r="42" spans="1:8" ht="12.75" x14ac:dyDescent="0.2">
      <c r="A42" s="18" t="s">
        <v>60</v>
      </c>
      <c r="B42" s="19">
        <f>12*9000</f>
        <v>108000</v>
      </c>
    </row>
    <row r="43" spans="1:8" ht="12.75" x14ac:dyDescent="0.2">
      <c r="A43" s="18" t="s">
        <v>61</v>
      </c>
      <c r="B43" s="19">
        <f>12*6000</f>
        <v>72000</v>
      </c>
    </row>
    <row r="44" spans="1:8" ht="12.75" x14ac:dyDescent="0.2">
      <c r="A44" s="18" t="s">
        <v>62</v>
      </c>
      <c r="B44" s="19">
        <f>12*600</f>
        <v>7200</v>
      </c>
    </row>
    <row r="45" spans="1:8" ht="12.75" x14ac:dyDescent="0.2">
      <c r="A45" s="18" t="s">
        <v>63</v>
      </c>
      <c r="B45" s="19">
        <v>10000</v>
      </c>
    </row>
    <row r="46" spans="1:8" ht="12.75" x14ac:dyDescent="0.2">
      <c r="A46" s="18" t="s">
        <v>64</v>
      </c>
      <c r="B46" s="19">
        <v>24000</v>
      </c>
    </row>
    <row r="47" spans="1:8" ht="12.75" x14ac:dyDescent="0.2">
      <c r="A47" s="18" t="s">
        <v>65</v>
      </c>
      <c r="B47" s="19">
        <v>20000</v>
      </c>
      <c r="C47" s="3"/>
      <c r="D47" s="3"/>
      <c r="E47" s="3"/>
      <c r="H47" s="3"/>
    </row>
    <row r="48" spans="1:8" ht="12.75" x14ac:dyDescent="0.2">
      <c r="A48" s="3" t="s">
        <v>66</v>
      </c>
      <c r="B48" s="19">
        <v>30000</v>
      </c>
    </row>
    <row r="49" spans="1:4" ht="12.75" x14ac:dyDescent="0.2">
      <c r="A49" s="18" t="s">
        <v>67</v>
      </c>
      <c r="B49" s="19">
        <f>SUM(B41:B48)</f>
        <v>271200</v>
      </c>
    </row>
    <row r="51" spans="1:4" ht="12.75" x14ac:dyDescent="0.2">
      <c r="A51" s="33" t="s">
        <v>68</v>
      </c>
      <c r="B51" s="32"/>
      <c r="C51" s="32"/>
      <c r="D51" s="32"/>
    </row>
    <row r="52" spans="1:4" ht="12.75" x14ac:dyDescent="0.2">
      <c r="A52" s="20"/>
      <c r="B52" s="20" t="s">
        <v>69</v>
      </c>
      <c r="C52" s="20" t="s">
        <v>70</v>
      </c>
      <c r="D52" s="20" t="s">
        <v>19</v>
      </c>
    </row>
    <row r="53" spans="1:4" ht="12.75" x14ac:dyDescent="0.2">
      <c r="A53" s="20" t="s">
        <v>71</v>
      </c>
      <c r="B53" s="21">
        <v>10000</v>
      </c>
      <c r="C53" s="20">
        <v>3</v>
      </c>
      <c r="D53" s="21">
        <f t="shared" ref="D53:D60" si="6">B53*C53</f>
        <v>30000</v>
      </c>
    </row>
    <row r="54" spans="1:4" ht="12.75" x14ac:dyDescent="0.2">
      <c r="A54" s="20" t="s">
        <v>72</v>
      </c>
      <c r="B54" s="21">
        <v>3000</v>
      </c>
      <c r="C54" s="20">
        <v>12</v>
      </c>
      <c r="D54" s="21">
        <f t="shared" si="6"/>
        <v>36000</v>
      </c>
    </row>
    <row r="55" spans="1:4" ht="12.75" x14ac:dyDescent="0.2">
      <c r="A55" s="20" t="s">
        <v>73</v>
      </c>
      <c r="B55" s="21">
        <v>40000</v>
      </c>
      <c r="C55" s="20">
        <v>12</v>
      </c>
      <c r="D55" s="21">
        <f t="shared" si="6"/>
        <v>480000</v>
      </c>
    </row>
    <row r="56" spans="1:4" ht="12.75" x14ac:dyDescent="0.2">
      <c r="A56" s="20" t="s">
        <v>87</v>
      </c>
      <c r="B56" s="21">
        <v>25000</v>
      </c>
      <c r="C56" s="20">
        <v>12</v>
      </c>
      <c r="D56" s="21">
        <f t="shared" si="6"/>
        <v>300000</v>
      </c>
    </row>
    <row r="57" spans="1:4" ht="12.75" x14ac:dyDescent="0.2">
      <c r="A57" s="20" t="s">
        <v>74</v>
      </c>
      <c r="B57" s="21">
        <v>5000</v>
      </c>
      <c r="C57" s="20">
        <v>12</v>
      </c>
      <c r="D57" s="21">
        <f t="shared" si="6"/>
        <v>60000</v>
      </c>
    </row>
    <row r="58" spans="1:4" ht="12.75" x14ac:dyDescent="0.2">
      <c r="A58" s="20" t="s">
        <v>75</v>
      </c>
      <c r="B58" s="21">
        <v>150000</v>
      </c>
      <c r="C58" s="20">
        <v>10</v>
      </c>
      <c r="D58" s="21">
        <f t="shared" si="6"/>
        <v>1500000</v>
      </c>
    </row>
    <row r="59" spans="1:4" ht="12.75" x14ac:dyDescent="0.2">
      <c r="A59" s="22" t="s">
        <v>76</v>
      </c>
      <c r="B59" s="23">
        <v>40000</v>
      </c>
      <c r="C59" s="22">
        <v>5</v>
      </c>
      <c r="D59" s="21">
        <f t="shared" si="6"/>
        <v>200000</v>
      </c>
    </row>
    <row r="60" spans="1:4" ht="12.75" x14ac:dyDescent="0.2">
      <c r="A60" s="20" t="s">
        <v>54</v>
      </c>
      <c r="B60" s="21">
        <v>22000</v>
      </c>
      <c r="C60" s="20">
        <v>12</v>
      </c>
      <c r="D60" s="21">
        <f t="shared" si="6"/>
        <v>264000</v>
      </c>
    </row>
    <row r="61" spans="1:4" ht="12.75" x14ac:dyDescent="0.2">
      <c r="A61" s="22"/>
      <c r="B61" s="22"/>
      <c r="C61" s="22"/>
      <c r="D61" s="23">
        <f>SUM(D53:D60)</f>
        <v>2870000</v>
      </c>
    </row>
    <row r="64" spans="1:4" ht="12.75" x14ac:dyDescent="0.2">
      <c r="A64" s="13" t="s">
        <v>77</v>
      </c>
    </row>
    <row r="65" spans="1:5" ht="12.75" x14ac:dyDescent="0.2">
      <c r="A65" s="3" t="s">
        <v>78</v>
      </c>
      <c r="B65" s="2">
        <v>5000</v>
      </c>
    </row>
    <row r="66" spans="1:5" ht="12.75" x14ac:dyDescent="0.2">
      <c r="A66" s="3" t="s">
        <v>79</v>
      </c>
      <c r="B66" s="2">
        <v>0</v>
      </c>
    </row>
    <row r="67" spans="1:5" ht="12.75" x14ac:dyDescent="0.2">
      <c r="A67" s="3" t="s">
        <v>67</v>
      </c>
      <c r="B67" s="2">
        <f>SUM(B65:B66)</f>
        <v>5000</v>
      </c>
      <c r="C67" s="3"/>
    </row>
    <row r="68" spans="1:5" ht="12.75" x14ac:dyDescent="0.2">
      <c r="A68" s="3"/>
      <c r="B68" s="3"/>
      <c r="C68" s="3"/>
    </row>
    <row r="69" spans="1:5" ht="12.75" x14ac:dyDescent="0.2">
      <c r="A69" s="3" t="s">
        <v>34</v>
      </c>
      <c r="B69" s="3" t="s">
        <v>80</v>
      </c>
      <c r="C69" s="3" t="s">
        <v>81</v>
      </c>
    </row>
    <row r="70" spans="1:5" ht="12.75" x14ac:dyDescent="0.2">
      <c r="A70" s="3" t="s">
        <v>82</v>
      </c>
      <c r="B70" s="2">
        <f>270*1800-108000</f>
        <v>378000</v>
      </c>
      <c r="C70" s="2">
        <f>12*9000</f>
        <v>108000</v>
      </c>
      <c r="D70" s="2"/>
      <c r="E70" s="4"/>
    </row>
    <row r="71" spans="1:5" ht="12.75" x14ac:dyDescent="0.2">
      <c r="A71" s="3" t="s">
        <v>83</v>
      </c>
      <c r="B71" s="2">
        <f>1800/2*270</f>
        <v>243000</v>
      </c>
      <c r="C71" s="2"/>
      <c r="D71" s="2"/>
      <c r="E71" s="4"/>
    </row>
    <row r="72" spans="1:5" ht="12.75" x14ac:dyDescent="0.2">
      <c r="A72" s="3" t="s">
        <v>19</v>
      </c>
      <c r="B72" s="2">
        <f>SUM(B70:B71)</f>
        <v>621000</v>
      </c>
    </row>
  </sheetData>
  <mergeCells count="3">
    <mergeCell ref="A1:C1"/>
    <mergeCell ref="E33:F33"/>
    <mergeCell ref="A51:D5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Dedek Jakub</cp:lastModifiedBy>
  <dcterms:modified xsi:type="dcterms:W3CDTF">2024-01-10T13:50:21Z</dcterms:modified>
</cp:coreProperties>
</file>